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<sst xmlns="http://schemas.openxmlformats.org/spreadsheetml/2006/main" count="162" uniqueCount="112">
  <si>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</si>
  <si>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</si>
  <si>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</si>
  <si>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</si>
  <si>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</si>
  <si>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</si>
  <si>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</si>
  <si>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</si>
  <si>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</si>
  <si>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</si>
  <si>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</si>
  <si>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</si>
  <si>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</si>
  <si>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</si>
  <si>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</si>
  <si>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</si>
  <si>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</si>
  <si>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</si>
  <si>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</si>
  <si>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</si>
  <si>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</si>
  <si>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</si>
  <si>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</si>
  <si>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</si>
  <si>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</si>
  <si>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</si>
  <si>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</si>
  <si>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</si>
  <si>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</si>
  <si>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</si>
  <si>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</si>
  <si>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</si>
  <si>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</si>
  <si>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</si>
  <si>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</si>
  <si>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</si>
  <si>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</si>
  <si>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</si>
  <si>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</si>
  <si>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</si>
  <si>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</si>
  <si>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</si>
  <si>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</si>
  <si>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</si>
  <si>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</si>
  <si>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</si>
  <si>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</si>
  <si>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</si>
  <si>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</si>
  <si>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</si>
  <si>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</si>
  <si>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</si>
  <si>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</si>
  <si>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</si>
  <si>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</si>
  <si>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</si>
  <si>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</si>
  <si>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</si>
  <si>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</si>
  <si>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</si>
  <si>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</si>
  <si>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</si>
  <si>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</si>
  <si>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</si>
  <si>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</si>
  <si>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</si>
  <si>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</si>
  <si>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</si>
  <si>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</si>
  <si>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</si>
  <si>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</si>
  <si>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</si>
  <si>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</si>
  <si>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</si>
  <si>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</si>
  <si>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</si>
  <si>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</si>
  <si>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</si>
  <si>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</si>
  <si>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</si>
  <si>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</si>
  <si>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</si>
  <si>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</si>
  <si>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</si>
  <si>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</si>
  <si>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</si>
  <si>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</si>
  <si>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</si>
  <si>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</si>
  <si>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</si>
  <si>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</si>
  <si>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</si>
  <si>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</si>
  <si>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</si>
  <si>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</si>
  <si>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</si>
  <si>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</si>
  <si>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</si>
  <si>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</si>
  <si>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</si>
  <si>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</si>
  <si>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</si>
  <si>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</si>
  <si>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</si>
  <si>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</si>
  <si>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</si>
  <si>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</si>
  <si>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План на 1 квартал, тис.грн.</t>
  </si>
  <si>
    <t>Відсоток виконання плану 1-го кварталу</t>
  </si>
  <si>
    <t>Відхилення від плану 1-го кварталу, тис.грн.</t>
  </si>
  <si>
    <t>Субвенція державному бюджету на виконання програм соціально-економічного та культурного розвитку регіонів</t>
  </si>
  <si>
    <t>Аналіз використання коштів міського бюджету за 2017 рік станом на 15.03.2017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</si>
</sst>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6253.000000000001</c:v>
                </c:pt>
                <c:pt idx="1">
                  <c:v>5975.900000000001</c:v>
                </c:pt>
                <c:pt idx="2">
                  <c:v>53.6</c:v>
                </c:pt>
                <c:pt idx="3">
                  <c:v>223.50000000000037</c:v>
                </c:pt>
              </c:numCache>
            </c:numRef>
          </c:val>
          <c:shape val="box"/>
        </c:ser>
        <c:shape val="box"/>
        <c:axId val="35976050"/>
        <c:axId val="55348995"/>
      </c:bar3DChart>
      <c:catAx>
        <c:axId val="3597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48995"/>
        <c:crosses val="autoZero"/>
        <c:auto val="1"/>
        <c:lblOffset val="100"/>
        <c:tickLblSkip val="1"/>
        <c:noMultiLvlLbl val="0"/>
      </c:catAx>
      <c:valAx>
        <c:axId val="55348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760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625404.8999999999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15086.199999999919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39925.100000000006</c:v>
                </c:pt>
                <c:pt idx="1">
                  <c:v>17971.3</c:v>
                </c:pt>
                <c:pt idx="2">
                  <c:v>36966.7</c:v>
                </c:pt>
                <c:pt idx="4">
                  <c:v>1199.7</c:v>
                </c:pt>
                <c:pt idx="5">
                  <c:v>676.7</c:v>
                </c:pt>
                <c:pt idx="6">
                  <c:v>1048.6000000000001</c:v>
                </c:pt>
                <c:pt idx="7">
                  <c:v>33.400000000008504</c:v>
                </c:pt>
              </c:numCache>
            </c:numRef>
          </c:val>
          <c:shape val="box"/>
        </c:ser>
        <c:shape val="box"/>
        <c:axId val="28378908"/>
        <c:axId val="54083581"/>
      </c:bar3DChart>
      <c:catAx>
        <c:axId val="2837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083581"/>
        <c:crosses val="autoZero"/>
        <c:auto val="1"/>
        <c:lblOffset val="100"/>
        <c:tickLblSkip val="1"/>
        <c:noMultiLvlLbl val="0"/>
      </c:catAx>
      <c:valAx>
        <c:axId val="54083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789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329127.1</c:v>
                </c:pt>
                <c:pt idx="1">
                  <c:v>238249.5</c:v>
                </c:pt>
                <c:pt idx="2">
                  <c:v>329127.1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24710.4</c:v>
                </c:pt>
                <c:pt idx="1">
                  <c:v>16758.499999999996</c:v>
                </c:pt>
                <c:pt idx="2">
                  <c:v>24710.4</c:v>
                </c:pt>
              </c:numCache>
            </c:numRef>
          </c:val>
          <c:shape val="box"/>
        </c:ser>
        <c:shape val="box"/>
        <c:axId val="16990182"/>
        <c:axId val="18693911"/>
      </c:bar3DChart>
      <c:catAx>
        <c:axId val="16990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693911"/>
        <c:crosses val="autoZero"/>
        <c:auto val="1"/>
        <c:lblOffset val="100"/>
        <c:tickLblSkip val="1"/>
        <c:noMultiLvlLbl val="0"/>
      </c:catAx>
      <c:valAx>
        <c:axId val="18693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901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3919.3</c:v>
                </c:pt>
                <c:pt idx="1">
                  <c:v>3576.9</c:v>
                </c:pt>
                <c:pt idx="2">
                  <c:v>6.6000000000000005</c:v>
                </c:pt>
                <c:pt idx="4">
                  <c:v>5.1</c:v>
                </c:pt>
                <c:pt idx="5">
                  <c:v>330.70000000000005</c:v>
                </c:pt>
              </c:numCache>
            </c:numRef>
          </c:val>
          <c:shape val="box"/>
        </c:ser>
        <c:shape val="box"/>
        <c:axId val="34027472"/>
        <c:axId val="37811793"/>
      </c:bar3DChart>
      <c:catAx>
        <c:axId val="3402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11793"/>
        <c:crosses val="autoZero"/>
        <c:auto val="1"/>
        <c:lblOffset val="100"/>
        <c:tickLblSkip val="1"/>
        <c:noMultiLvlLbl val="0"/>
      </c:catAx>
      <c:valAx>
        <c:axId val="378117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274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23558.7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4978.300000000002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1458.1000000000001</c:v>
                </c:pt>
                <c:pt idx="1">
                  <c:v>1131.1999999999998</c:v>
                </c:pt>
                <c:pt idx="3">
                  <c:v>1.9</c:v>
                </c:pt>
                <c:pt idx="4">
                  <c:v>0.5</c:v>
                </c:pt>
                <c:pt idx="6">
                  <c:v>324.50000000000034</c:v>
                </c:pt>
              </c:numCache>
            </c:numRef>
          </c:val>
          <c:shape val="box"/>
        </c:ser>
        <c:shape val="box"/>
        <c:axId val="4761818"/>
        <c:axId val="42856363"/>
      </c:bar3DChart>
      <c:catAx>
        <c:axId val="4761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56363"/>
        <c:crosses val="autoZero"/>
        <c:auto val="1"/>
        <c:lblOffset val="100"/>
        <c:tickLblSkip val="2"/>
        <c:noMultiLvlLbl val="0"/>
      </c:catAx>
      <c:valAx>
        <c:axId val="42856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8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7844.6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448.30000000000007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201.9</c:v>
                </c:pt>
                <c:pt idx="1">
                  <c:v>201.7</c:v>
                </c:pt>
                <c:pt idx="5">
                  <c:v>0.20000000000001705</c:v>
                </c:pt>
              </c:numCache>
            </c:numRef>
          </c:val>
          <c:shape val="box"/>
        </c:ser>
        <c:shape val="box"/>
        <c:axId val="50162948"/>
        <c:axId val="48813349"/>
      </c:bar3DChart>
      <c:catAx>
        <c:axId val="50162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13349"/>
        <c:crosses val="autoZero"/>
        <c:auto val="1"/>
        <c:lblOffset val="100"/>
        <c:tickLblSkip val="1"/>
        <c:noMultiLvlLbl val="0"/>
      </c:catAx>
      <c:valAx>
        <c:axId val="48813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629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4915.2</c:v>
                </c:pt>
              </c:numCache>
            </c:numRef>
          </c:val>
          <c:shape val="box"/>
        </c:ser>
        <c:shape val="box"/>
        <c:axId val="36666958"/>
        <c:axId val="61567167"/>
      </c:bar3DChart>
      <c:catAx>
        <c:axId val="3666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567167"/>
        <c:crosses val="autoZero"/>
        <c:auto val="1"/>
        <c:lblOffset val="100"/>
        <c:tickLblSkip val="1"/>
        <c:noMultiLvlLbl val="0"/>
      </c:catAx>
      <c:valAx>
        <c:axId val="61567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669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625404.8999999999</c:v>
                </c:pt>
                <c:pt idx="1">
                  <c:v>329127.1</c:v>
                </c:pt>
                <c:pt idx="2">
                  <c:v>67303.3</c:v>
                </c:pt>
                <c:pt idx="3">
                  <c:v>23558.7</c:v>
                </c:pt>
                <c:pt idx="4">
                  <c:v>7844.6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39925.100000000006</c:v>
                </c:pt>
                <c:pt idx="1">
                  <c:v>24710.4</c:v>
                </c:pt>
                <c:pt idx="2">
                  <c:v>3919.3</c:v>
                </c:pt>
                <c:pt idx="3">
                  <c:v>1458.1000000000001</c:v>
                </c:pt>
                <c:pt idx="4">
                  <c:v>201.9</c:v>
                </c:pt>
                <c:pt idx="5">
                  <c:v>6253.000000000001</c:v>
                </c:pt>
                <c:pt idx="6">
                  <c:v>4915.2</c:v>
                </c:pt>
              </c:numCache>
            </c:numRef>
          </c:val>
          <c:shape val="box"/>
        </c:ser>
        <c:shape val="box"/>
        <c:axId val="17233592"/>
        <c:axId val="20884601"/>
      </c:bar3DChart>
      <c:catAx>
        <c:axId val="17233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84601"/>
        <c:crosses val="autoZero"/>
        <c:auto val="1"/>
        <c:lblOffset val="100"/>
        <c:tickLblSkip val="1"/>
        <c:noMultiLvlLbl val="0"/>
      </c:catAx>
      <c:valAx>
        <c:axId val="20884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335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102469.50000000003</c:v>
                </c:pt>
                <c:pt idx="2">
                  <c:v>28682.2</c:v>
                </c:pt>
                <c:pt idx="3">
                  <c:v>29184.599999999995</c:v>
                </c:pt>
                <c:pt idx="4">
                  <c:v>186.9</c:v>
                </c:pt>
                <c:pt idx="5">
                  <c:v>955547.2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48682.2</c:v>
                </c:pt>
                <c:pt idx="1">
                  <c:v>1926.5</c:v>
                </c:pt>
                <c:pt idx="2">
                  <c:v>1201.6000000000001</c:v>
                </c:pt>
                <c:pt idx="3">
                  <c:v>1424.6000000000001</c:v>
                </c:pt>
                <c:pt idx="4">
                  <c:v>0</c:v>
                </c:pt>
                <c:pt idx="5">
                  <c:v>53889.5</c:v>
                </c:pt>
              </c:numCache>
            </c:numRef>
          </c:val>
          <c:shape val="box"/>
        </c:ser>
        <c:shape val="box"/>
        <c:axId val="53743682"/>
        <c:axId val="13931091"/>
      </c:bar3DChart>
      <c:catAx>
        <c:axId val="5374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31091"/>
        <c:crosses val="autoZero"/>
        <c:auto val="1"/>
        <c:lblOffset val="100"/>
        <c:tickLblSkip val="1"/>
        <c:noMultiLvlLbl val="0"/>
      </c:catAx>
      <c:valAx>
        <c:axId val="13931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436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107</v>
      </c>
      <c r="C3" s="130" t="s">
        <v>91</v>
      </c>
      <c r="D3" s="130" t="s">
        <v>23</v>
      </c>
      <c r="E3" s="130" t="s">
        <v>22</v>
      </c>
      <c r="F3" s="130" t="s">
        <v>108</v>
      </c>
      <c r="G3" s="130" t="s">
        <v>93</v>
      </c>
      <c r="H3" s="130" t="s">
        <v>109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172086.4</v>
      </c>
      <c r="C6" s="46">
        <f>625865.1-190.4-316.9+47.1+50</f>
        <v>625454.8999999999</v>
      </c>
      <c r="D6" s="47">
        <f>13522.8+199.8+351+3.4+1.2+14658+9356.3+1168.4+403.4+43.4+23+194.4+502.3+461.6+16471.9+946.1+4113.7+1906.3+1145.7+13071.9+14499.5+2217+39.1+0.3+3404.9+3295.8+35.7+414.5+17321.2</f>
        <v>119772.6</v>
      </c>
      <c r="E6" s="3">
        <f>D6/D150*100</f>
        <v>40.59550073193689</v>
      </c>
      <c r="F6" s="3">
        <f>D6/B6*100</f>
        <v>69.60027056176433</v>
      </c>
      <c r="G6" s="3">
        <f aca="true" t="shared" si="0" ref="G6:G43">D6/C6*100</f>
        <v>19.14967809829294</v>
      </c>
      <c r="H6" s="47">
        <f>B6-D6</f>
        <v>52313.79999999999</v>
      </c>
      <c r="I6" s="47">
        <f aca="true" t="shared" si="1" ref="I6:I43">C6-D6</f>
        <v>505682.29999999993</v>
      </c>
    </row>
    <row r="7" spans="1:9" s="37" customFormat="1" ht="18.75">
      <c r="A7" s="104" t="s">
        <v>83</v>
      </c>
      <c r="B7" s="97">
        <v>56191.6</v>
      </c>
      <c r="C7" s="94">
        <f>243287.4+47.1</f>
        <v>243334.5</v>
      </c>
      <c r="D7" s="105">
        <f>6699.4+11261.7+10.2+8073.8+9792.3+0.1+0.8+7352</f>
        <v>43190.299999999996</v>
      </c>
      <c r="E7" s="95">
        <f>D7/D6*100</f>
        <v>36.06025084201227</v>
      </c>
      <c r="F7" s="95">
        <f>D7/B7*100</f>
        <v>76.8625559692196</v>
      </c>
      <c r="G7" s="95">
        <f>D7/C7*100</f>
        <v>17.74935325652548</v>
      </c>
      <c r="H7" s="105">
        <f>B7-D7</f>
        <v>13001.300000000003</v>
      </c>
      <c r="I7" s="105">
        <f t="shared" si="1"/>
        <v>200144.2</v>
      </c>
    </row>
    <row r="8" spans="1:9" ht="18">
      <c r="A8" s="23" t="s">
        <v>3</v>
      </c>
      <c r="B8" s="42">
        <v>115100.9</v>
      </c>
      <c r="C8" s="43">
        <f>487771.7+47.1</f>
        <v>487818.8</v>
      </c>
      <c r="D8" s="44">
        <f>12945+14658+9353.4+10.2+0.1+7+16015+13071.9+6973.3+1906+3.4+7.6+13882.5</f>
        <v>88833.4</v>
      </c>
      <c r="E8" s="1">
        <f>D8/D6*100</f>
        <v>74.16838241801547</v>
      </c>
      <c r="F8" s="1">
        <f>D8/B8*100</f>
        <v>77.17871884581268</v>
      </c>
      <c r="G8" s="1">
        <f t="shared" si="0"/>
        <v>18.210327277259506</v>
      </c>
      <c r="H8" s="44">
        <f>B8-D8</f>
        <v>26267.5</v>
      </c>
      <c r="I8" s="44">
        <f t="shared" si="1"/>
        <v>398985.4</v>
      </c>
    </row>
    <row r="9" spans="1:9" ht="18">
      <c r="A9" s="23" t="s">
        <v>2</v>
      </c>
      <c r="B9" s="42">
        <v>23.9</v>
      </c>
      <c r="C9" s="43">
        <v>92.5</v>
      </c>
      <c r="D9" s="44">
        <f>2.5</f>
        <v>2.5</v>
      </c>
      <c r="E9" s="12">
        <f>D9/D6*100</f>
        <v>0.002087288745506067</v>
      </c>
      <c r="F9" s="120">
        <f>D9/B9*100</f>
        <v>10.460251046025105</v>
      </c>
      <c r="G9" s="1">
        <f t="shared" si="0"/>
        <v>2.7027027027027026</v>
      </c>
      <c r="H9" s="44">
        <f aca="true" t="shared" si="2" ref="H9:H43">B9-D9</f>
        <v>21.4</v>
      </c>
      <c r="I9" s="44">
        <f t="shared" si="1"/>
        <v>90</v>
      </c>
    </row>
    <row r="10" spans="1:9" ht="18">
      <c r="A10" s="23" t="s">
        <v>1</v>
      </c>
      <c r="B10" s="42">
        <v>8443.8</v>
      </c>
      <c r="C10" s="43">
        <f>27822.4-190.4-170.5</f>
        <v>27461.5</v>
      </c>
      <c r="D10" s="48">
        <f>577.8+199.8+74.7+2.9+214.2+13.4+43.4+23+50.5+482.2+461.6+80.5+165.5+636+126.3+890.8+56.1+6.4+310.6+696.5+21.5+413.5+205.4</f>
        <v>5752.6</v>
      </c>
      <c r="E10" s="1">
        <f>D10/D6*100</f>
        <v>4.802934894959281</v>
      </c>
      <c r="F10" s="1">
        <f aca="true" t="shared" si="3" ref="F10:F41">D10/B10*100</f>
        <v>68.12809398612</v>
      </c>
      <c r="G10" s="1">
        <f t="shared" si="0"/>
        <v>20.947872476011874</v>
      </c>
      <c r="H10" s="44">
        <f t="shared" si="2"/>
        <v>2691.199999999999</v>
      </c>
      <c r="I10" s="44">
        <f t="shared" si="1"/>
        <v>21708.9</v>
      </c>
    </row>
    <row r="11" spans="1:9" ht="18">
      <c r="A11" s="23" t="s">
        <v>0</v>
      </c>
      <c r="B11" s="42">
        <v>42044.8</v>
      </c>
      <c r="C11" s="43">
        <v>80900.5</v>
      </c>
      <c r="D11" s="49">
        <f>143.9+390+0.1+142.7+13.1+169.2+704.4+3378.9+1906.3+468.5+6301.9+20.7+31.8+0.1+3059.4+2301.7+3149.2</f>
        <v>22181.9</v>
      </c>
      <c r="E11" s="1">
        <f>D11/D6*100</f>
        <v>18.520012089576415</v>
      </c>
      <c r="F11" s="1">
        <f t="shared" si="3"/>
        <v>52.75777266154198</v>
      </c>
      <c r="G11" s="1">
        <f t="shared" si="0"/>
        <v>27.418742776620665</v>
      </c>
      <c r="H11" s="44">
        <f t="shared" si="2"/>
        <v>19862.9</v>
      </c>
      <c r="I11" s="44">
        <f t="shared" si="1"/>
        <v>58718.6</v>
      </c>
    </row>
    <row r="12" spans="1:9" ht="18">
      <c r="A12" s="23" t="s">
        <v>14</v>
      </c>
      <c r="B12" s="42">
        <v>3645.4</v>
      </c>
      <c r="C12" s="43">
        <v>14045.4</v>
      </c>
      <c r="D12" s="44">
        <f>276.3+3.4+1.2+766.5+1.2+207.2+488.1+284.1+207.8+0.1+1.2+2.8</f>
        <v>2239.9</v>
      </c>
      <c r="E12" s="1">
        <f>D12/D6*100</f>
        <v>1.870127224423616</v>
      </c>
      <c r="F12" s="1">
        <f t="shared" si="3"/>
        <v>61.44456026773468</v>
      </c>
      <c r="G12" s="1">
        <f t="shared" si="0"/>
        <v>15.947570022925655</v>
      </c>
      <c r="H12" s="44">
        <f t="shared" si="2"/>
        <v>1405.5</v>
      </c>
      <c r="I12" s="44">
        <f t="shared" si="1"/>
        <v>11805.5</v>
      </c>
    </row>
    <row r="13" spans="1:9" ht="18.75" thickBot="1">
      <c r="A13" s="23" t="s">
        <v>28</v>
      </c>
      <c r="B13" s="43">
        <f>B6-B8-B9-B10-B11-B12</f>
        <v>2827.6</v>
      </c>
      <c r="C13" s="43">
        <f>C6-C8-C9-C10-C11-C12</f>
        <v>15136.199999999919</v>
      </c>
      <c r="D13" s="43">
        <f>D6-D8-D9-D10-D11-D12</f>
        <v>762.3000000000116</v>
      </c>
      <c r="E13" s="1">
        <f>D13/D6*100</f>
        <v>0.6364560842797197</v>
      </c>
      <c r="F13" s="1">
        <f t="shared" si="3"/>
        <v>26.959258735323647</v>
      </c>
      <c r="G13" s="1">
        <f t="shared" si="0"/>
        <v>5.036270662385642</v>
      </c>
      <c r="H13" s="44">
        <f t="shared" si="2"/>
        <v>2065.2999999999884</v>
      </c>
      <c r="I13" s="44">
        <f t="shared" si="1"/>
        <v>14373.899999999907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99257.2+2377.2</f>
        <v>101634.4</v>
      </c>
      <c r="C18" s="46">
        <f>329127.1+600+14307.6</f>
        <v>344034.69999999995</v>
      </c>
      <c r="D18" s="47">
        <f>7750.2+16091.8+509.8+21.4+337.2+206.3+9326.4+708.9+873+242.1+3327.1+2.3+17653.4+33.8-2.1+533.8+30.7+490.1+11915.5</f>
        <v>70051.70000000001</v>
      </c>
      <c r="E18" s="3">
        <f>D18/D150*100</f>
        <v>23.74319200404286</v>
      </c>
      <c r="F18" s="3">
        <f>D18/B18*100</f>
        <v>68.92518674779407</v>
      </c>
      <c r="G18" s="3">
        <f t="shared" si="0"/>
        <v>20.361812340441247</v>
      </c>
      <c r="H18" s="47">
        <f>B18-D18</f>
        <v>31582.699999999983</v>
      </c>
      <c r="I18" s="47">
        <f t="shared" si="1"/>
        <v>273982.99999999994</v>
      </c>
    </row>
    <row r="19" spans="1:13" s="37" customFormat="1" ht="18.75">
      <c r="A19" s="104" t="s">
        <v>84</v>
      </c>
      <c r="B19" s="97">
        <f>59541.9+1256</f>
        <v>60797.9</v>
      </c>
      <c r="C19" s="94">
        <f>238249.5+1256</f>
        <v>239505.5</v>
      </c>
      <c r="D19" s="105">
        <f>7750.2+9045.4-324.4+287.3+8839.2+63.1+167.7+672.4+2.3+8064+287.9+29.4+0.1+353.7+16.6+490.1+8886.5</f>
        <v>44631.49999999999</v>
      </c>
      <c r="E19" s="95">
        <f>D19/D18*100</f>
        <v>63.712229681792145</v>
      </c>
      <c r="F19" s="95">
        <f t="shared" si="3"/>
        <v>73.40960789764118</v>
      </c>
      <c r="G19" s="95">
        <f t="shared" si="0"/>
        <v>18.634853896883367</v>
      </c>
      <c r="H19" s="105">
        <f t="shared" si="2"/>
        <v>16166.400000000009</v>
      </c>
      <c r="I19" s="105">
        <f t="shared" si="1"/>
        <v>194874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101634.4</v>
      </c>
      <c r="C25" s="43">
        <f>C18</f>
        <v>344034.69999999995</v>
      </c>
      <c r="D25" s="43">
        <f>D18</f>
        <v>70051.70000000001</v>
      </c>
      <c r="E25" s="1">
        <f>D25/D18*100</f>
        <v>100</v>
      </c>
      <c r="F25" s="1">
        <f t="shared" si="3"/>
        <v>68.92518674779407</v>
      </c>
      <c r="G25" s="1">
        <f t="shared" si="0"/>
        <v>20.361812340441247</v>
      </c>
      <c r="H25" s="44">
        <f t="shared" si="2"/>
        <v>31582.699999999983</v>
      </c>
      <c r="I25" s="44">
        <f t="shared" si="1"/>
        <v>273982.99999999994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14983.5</v>
      </c>
      <c r="C33" s="46">
        <v>67303.3</v>
      </c>
      <c r="D33" s="50">
        <f>1839.2+34.8+165.7+1873.2+1.3+5.1+223.7+77.9+1834.7+29.7+171.2+8.4+128.8+239.3+79.6+50.8+1967+148.5+65.1+168.2+2+195+1854.2</f>
        <v>11163.400000000001</v>
      </c>
      <c r="E33" s="3">
        <f>D33/D150*100</f>
        <v>3.7837018890038645</v>
      </c>
      <c r="F33" s="3">
        <f>D33/B33*100</f>
        <v>74.50462175059232</v>
      </c>
      <c r="G33" s="3">
        <f t="shared" si="0"/>
        <v>16.586705258137417</v>
      </c>
      <c r="H33" s="47">
        <f t="shared" si="2"/>
        <v>3820.0999999999985</v>
      </c>
      <c r="I33" s="47">
        <f t="shared" si="1"/>
        <v>56139.9</v>
      </c>
    </row>
    <row r="34" spans="1:9" ht="18">
      <c r="A34" s="23" t="s">
        <v>3</v>
      </c>
      <c r="B34" s="42">
        <v>11159.5</v>
      </c>
      <c r="C34" s="43">
        <v>55535.9</v>
      </c>
      <c r="D34" s="44">
        <f>1743.2+1833.7+1830.2+1935.3+81+1854.2</f>
        <v>9277.6</v>
      </c>
      <c r="E34" s="1">
        <f>D34/D33*100</f>
        <v>83.10729706003546</v>
      </c>
      <c r="F34" s="1">
        <f t="shared" si="3"/>
        <v>83.13634123392626</v>
      </c>
      <c r="G34" s="1">
        <f t="shared" si="0"/>
        <v>16.705590437896927</v>
      </c>
      <c r="H34" s="44">
        <f t="shared" si="2"/>
        <v>1881.8999999999996</v>
      </c>
      <c r="I34" s="44">
        <f t="shared" si="1"/>
        <v>46258.3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1348.3</v>
      </c>
      <c r="C36" s="43">
        <v>2945.3</v>
      </c>
      <c r="D36" s="44">
        <f>5.4+1.2+41.8+16.1+2.9+29.7+160.9+0.8+93.4+46.9+11.2+0.1+33.7+184.7</f>
        <v>628.8</v>
      </c>
      <c r="E36" s="1">
        <f>D36/D33*100</f>
        <v>5.63269254886504</v>
      </c>
      <c r="F36" s="1">
        <f t="shared" si="3"/>
        <v>46.63650522880665</v>
      </c>
      <c r="G36" s="1">
        <f t="shared" si="0"/>
        <v>21.349268325807216</v>
      </c>
      <c r="H36" s="44">
        <f t="shared" si="2"/>
        <v>719.5</v>
      </c>
      <c r="I36" s="44">
        <f t="shared" si="1"/>
        <v>2316.5</v>
      </c>
    </row>
    <row r="37" spans="1:9" s="37" customFormat="1" ht="18.75">
      <c r="A37" s="18" t="s">
        <v>7</v>
      </c>
      <c r="B37" s="51">
        <v>134.5</v>
      </c>
      <c r="C37" s="52">
        <v>856.1</v>
      </c>
      <c r="D37" s="53"/>
      <c r="E37" s="17">
        <f>D37/D33*100</f>
        <v>0</v>
      </c>
      <c r="F37" s="17">
        <f t="shared" si="3"/>
        <v>0</v>
      </c>
      <c r="G37" s="17">
        <f t="shared" si="0"/>
        <v>0</v>
      </c>
      <c r="H37" s="53">
        <f t="shared" si="2"/>
        <v>134.5</v>
      </c>
      <c r="I37" s="53">
        <f t="shared" si="1"/>
        <v>856.1</v>
      </c>
    </row>
    <row r="38" spans="1:9" ht="18">
      <c r="A38" s="23" t="s">
        <v>14</v>
      </c>
      <c r="B38" s="42">
        <v>15.3</v>
      </c>
      <c r="C38" s="43">
        <v>80.8</v>
      </c>
      <c r="D38" s="43">
        <f>5.1+5.1</f>
        <v>10.2</v>
      </c>
      <c r="E38" s="1">
        <f>D38/D33*100</f>
        <v>0.091370012720139</v>
      </c>
      <c r="F38" s="1">
        <f t="shared" si="3"/>
        <v>66.66666666666666</v>
      </c>
      <c r="G38" s="1">
        <f t="shared" si="0"/>
        <v>12.623762376237623</v>
      </c>
      <c r="H38" s="44">
        <f t="shared" si="2"/>
        <v>5.100000000000001</v>
      </c>
      <c r="I38" s="44">
        <f t="shared" si="1"/>
        <v>70.6</v>
      </c>
    </row>
    <row r="39" spans="1:9" ht="18.75" thickBot="1">
      <c r="A39" s="23" t="s">
        <v>28</v>
      </c>
      <c r="B39" s="42">
        <f>B33-B34-B36-B37-B35-B38</f>
        <v>2325.8999999999996</v>
      </c>
      <c r="C39" s="42">
        <f>C33-C34-C36-C37-C35-C38</f>
        <v>7885.200000000002</v>
      </c>
      <c r="D39" s="42">
        <f>D33-D34-D36-D37-D35-D38</f>
        <v>1246.800000000001</v>
      </c>
      <c r="E39" s="1">
        <f>D39/D33*100</f>
        <v>11.168640378379354</v>
      </c>
      <c r="F39" s="1">
        <f t="shared" si="3"/>
        <v>53.60505610731335</v>
      </c>
      <c r="G39" s="1">
        <f t="shared" si="0"/>
        <v>15.811900776137586</v>
      </c>
      <c r="H39" s="44">
        <f>B39-D39</f>
        <v>1079.0999999999985</v>
      </c>
      <c r="I39" s="44">
        <f t="shared" si="1"/>
        <v>6638.400000000001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546.1+6.6</f>
        <v>552.7</v>
      </c>
      <c r="C43" s="46">
        <f>1548.6+6.6</f>
        <v>1555.1999999999998</v>
      </c>
      <c r="D43" s="47">
        <f>29.1+22+50.2+8.1+0.6+111.5+89.2+3+14.7+7.1+8.4</f>
        <v>343.9</v>
      </c>
      <c r="E43" s="3">
        <f>D43/D150*100</f>
        <v>0.11656082193851594</v>
      </c>
      <c r="F43" s="3">
        <f>D43/B43*100</f>
        <v>62.22182015559977</v>
      </c>
      <c r="G43" s="3">
        <f t="shared" si="0"/>
        <v>22.112911522633745</v>
      </c>
      <c r="H43" s="47">
        <f t="shared" si="2"/>
        <v>208.80000000000007</v>
      </c>
      <c r="I43" s="47">
        <f t="shared" si="1"/>
        <v>1211.2999999999997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3036.1</v>
      </c>
      <c r="C45" s="46">
        <v>11788</v>
      </c>
      <c r="D45" s="47">
        <f>102.9+155.5+3.1+3.7+452.3+6+17.2+314.1+59.3+95.2+2.2+579+1.9+71.6+375.2</f>
        <v>2239.2000000000003</v>
      </c>
      <c r="E45" s="3">
        <f>D45/D150*100</f>
        <v>0.7589502543900115</v>
      </c>
      <c r="F45" s="3">
        <f>D45/B45*100</f>
        <v>73.75251144560457</v>
      </c>
      <c r="G45" s="3">
        <f aca="true" t="shared" si="4" ref="G45:G76">D45/C45*100</f>
        <v>18.995588734306075</v>
      </c>
      <c r="H45" s="47">
        <f>B45-D45</f>
        <v>796.8999999999996</v>
      </c>
      <c r="I45" s="47">
        <f aca="true" t="shared" si="5" ref="I45:I77">C45-D45</f>
        <v>9548.8</v>
      </c>
    </row>
    <row r="46" spans="1:9" ht="18">
      <c r="A46" s="23" t="s">
        <v>3</v>
      </c>
      <c r="B46" s="42">
        <v>2511.9</v>
      </c>
      <c r="C46" s="43">
        <v>10529.7</v>
      </c>
      <c r="D46" s="44">
        <f>102.7+154.9+447.3+314.1+572.1+284.8</f>
        <v>1875.9</v>
      </c>
      <c r="E46" s="1">
        <f>D46/D45*100</f>
        <v>83.7754555198285</v>
      </c>
      <c r="F46" s="1">
        <f aca="true" t="shared" si="6" ref="F46:F74">D46/B46*100</f>
        <v>74.68052072136629</v>
      </c>
      <c r="G46" s="1">
        <f t="shared" si="4"/>
        <v>17.815322373856805</v>
      </c>
      <c r="H46" s="44">
        <f aca="true" t="shared" si="7" ref="H46:H74">B46-D46</f>
        <v>636</v>
      </c>
      <c r="I46" s="44">
        <f t="shared" si="5"/>
        <v>8653.800000000001</v>
      </c>
    </row>
    <row r="47" spans="1:9" ht="18">
      <c r="A47" s="23" t="s">
        <v>2</v>
      </c>
      <c r="B47" s="42">
        <v>0.8</v>
      </c>
      <c r="C47" s="43">
        <v>1.4</v>
      </c>
      <c r="D47" s="44"/>
      <c r="E47" s="1">
        <f>D47/D45*100</f>
        <v>0</v>
      </c>
      <c r="F47" s="1">
        <f t="shared" si="6"/>
        <v>0</v>
      </c>
      <c r="G47" s="1">
        <f t="shared" si="4"/>
        <v>0</v>
      </c>
      <c r="H47" s="44">
        <f t="shared" si="7"/>
        <v>0.8</v>
      </c>
      <c r="I47" s="44">
        <f t="shared" si="5"/>
        <v>1.4</v>
      </c>
    </row>
    <row r="48" spans="1:9" ht="18">
      <c r="A48" s="23" t="s">
        <v>1</v>
      </c>
      <c r="B48" s="42">
        <v>16.4</v>
      </c>
      <c r="C48" s="43">
        <v>73.4</v>
      </c>
      <c r="D48" s="44">
        <f>5.4+5.6</f>
        <v>11</v>
      </c>
      <c r="E48" s="1">
        <f>D48/D45*100</f>
        <v>0.4912468738835297</v>
      </c>
      <c r="F48" s="1">
        <f t="shared" si="6"/>
        <v>67.07317073170732</v>
      </c>
      <c r="G48" s="1">
        <f t="shared" si="4"/>
        <v>14.986376021798364</v>
      </c>
      <c r="H48" s="44">
        <f t="shared" si="7"/>
        <v>5.399999999999999</v>
      </c>
      <c r="I48" s="44">
        <f t="shared" si="5"/>
        <v>62.400000000000006</v>
      </c>
    </row>
    <row r="49" spans="1:9" ht="18">
      <c r="A49" s="23" t="s">
        <v>0</v>
      </c>
      <c r="B49" s="42">
        <v>436.5</v>
      </c>
      <c r="C49" s="43">
        <v>865.1</v>
      </c>
      <c r="D49" s="44">
        <f>3.1+3.5+1+0.7+59.3+95.2+2.2+6-0.1+53.5+89.7</f>
        <v>314.1</v>
      </c>
      <c r="E49" s="1">
        <f>D49/D45*100</f>
        <v>14.02733118971061</v>
      </c>
      <c r="F49" s="1">
        <f t="shared" si="6"/>
        <v>71.95876288659794</v>
      </c>
      <c r="G49" s="1">
        <f t="shared" si="4"/>
        <v>36.30794127846492</v>
      </c>
      <c r="H49" s="44">
        <f t="shared" si="7"/>
        <v>122.39999999999998</v>
      </c>
      <c r="I49" s="44">
        <f t="shared" si="5"/>
        <v>551</v>
      </c>
    </row>
    <row r="50" spans="1:9" ht="18.75" thickBot="1">
      <c r="A50" s="23" t="s">
        <v>28</v>
      </c>
      <c r="B50" s="43">
        <f>B45-B46-B49-B48-B47</f>
        <v>70.49999999999982</v>
      </c>
      <c r="C50" s="43">
        <f>C45-C46-C49-C48-C47</f>
        <v>318.3999999999993</v>
      </c>
      <c r="D50" s="43">
        <f>D45-D46-D49-D48-D47</f>
        <v>38.20000000000016</v>
      </c>
      <c r="E50" s="1">
        <f>D50/D45*100</f>
        <v>1.705966416577356</v>
      </c>
      <c r="F50" s="1">
        <f t="shared" si="6"/>
        <v>54.184397163120934</v>
      </c>
      <c r="G50" s="1">
        <f t="shared" si="4"/>
        <v>11.997487437186006</v>
      </c>
      <c r="H50" s="44">
        <f t="shared" si="7"/>
        <v>32.299999999999656</v>
      </c>
      <c r="I50" s="44">
        <f t="shared" si="5"/>
        <v>280.19999999999914</v>
      </c>
    </row>
    <row r="51" spans="1:9" ht="18.75" thickBot="1">
      <c r="A51" s="22" t="s">
        <v>4</v>
      </c>
      <c r="B51" s="45">
        <f>5920.5+50+356.2</f>
        <v>6326.7</v>
      </c>
      <c r="C51" s="46">
        <f>23558.7+50+2250</f>
        <v>25858.7</v>
      </c>
      <c r="D51" s="47">
        <f>475.9+7.8+935.8+30.7-0.1+8+35.8+34+6+454.4+67.8+74.7+41.8+81.6+68+973+34+4.9+131.2+59.3+568.8+113.2</f>
        <v>4206.6</v>
      </c>
      <c r="E51" s="3">
        <f>D51/D150*100</f>
        <v>1.4257771258114604</v>
      </c>
      <c r="F51" s="3">
        <f>D51/B51*100</f>
        <v>66.4896391483712</v>
      </c>
      <c r="G51" s="3">
        <f t="shared" si="4"/>
        <v>16.26763913112415</v>
      </c>
      <c r="H51" s="47">
        <f>B51-D51</f>
        <v>2120.0999999999995</v>
      </c>
      <c r="I51" s="47">
        <f t="shared" si="5"/>
        <v>21652.1</v>
      </c>
    </row>
    <row r="52" spans="1:9" ht="18">
      <c r="A52" s="23" t="s">
        <v>3</v>
      </c>
      <c r="B52" s="42">
        <v>3512</v>
      </c>
      <c r="C52" s="43">
        <v>16189.8</v>
      </c>
      <c r="D52" s="44">
        <f>392.4+738.8+389.6+752.9+403.1</f>
        <v>2676.7999999999997</v>
      </c>
      <c r="E52" s="1">
        <f>D52/D51*100</f>
        <v>63.63333808776683</v>
      </c>
      <c r="F52" s="1">
        <f t="shared" si="6"/>
        <v>76.21867881548974</v>
      </c>
      <c r="G52" s="1">
        <f t="shared" si="4"/>
        <v>16.5338670026807</v>
      </c>
      <c r="H52" s="44">
        <f t="shared" si="7"/>
        <v>835.2000000000003</v>
      </c>
      <c r="I52" s="44">
        <f t="shared" si="5"/>
        <v>13513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200.5</v>
      </c>
      <c r="C54" s="43">
        <v>810.2</v>
      </c>
      <c r="D54" s="44">
        <f>1.9+1.9+0.5+7.4+2.1+1.2+12.9+5.1+0.1+4.5+16.8+19.2+9.7</f>
        <v>83.30000000000001</v>
      </c>
      <c r="E54" s="1">
        <f>D54/D51*100</f>
        <v>1.9802215566015309</v>
      </c>
      <c r="F54" s="1">
        <f t="shared" si="6"/>
        <v>41.54613466334165</v>
      </c>
      <c r="G54" s="1">
        <f t="shared" si="4"/>
        <v>10.281411997037768</v>
      </c>
      <c r="H54" s="44">
        <f t="shared" si="7"/>
        <v>117.19999999999999</v>
      </c>
      <c r="I54" s="44">
        <f t="shared" si="5"/>
        <v>726.9000000000001</v>
      </c>
    </row>
    <row r="55" spans="1:9" ht="18">
      <c r="A55" s="23" t="s">
        <v>0</v>
      </c>
      <c r="B55" s="42">
        <v>492</v>
      </c>
      <c r="C55" s="43">
        <v>1048.5</v>
      </c>
      <c r="D55" s="44">
        <f>0.5+0.6+7.5+73.9+2.1+51.2+20.8+16.3+5.9+0.4+16.8+14.9+10.4</f>
        <v>221.30000000000007</v>
      </c>
      <c r="E55" s="1">
        <f>D55/D51*100</f>
        <v>5.260780677982219</v>
      </c>
      <c r="F55" s="1">
        <f t="shared" si="6"/>
        <v>44.97967479674798</v>
      </c>
      <c r="G55" s="1">
        <f t="shared" si="4"/>
        <v>21.10634239389605</v>
      </c>
      <c r="H55" s="44">
        <f t="shared" si="7"/>
        <v>270.69999999999993</v>
      </c>
      <c r="I55" s="44">
        <f t="shared" si="5"/>
        <v>827.1999999999999</v>
      </c>
    </row>
    <row r="56" spans="1:9" ht="18">
      <c r="A56" s="23" t="s">
        <v>14</v>
      </c>
      <c r="B56" s="42">
        <v>129.7</v>
      </c>
      <c r="C56" s="43">
        <v>518.9</v>
      </c>
      <c r="D56" s="43">
        <f>34+46</f>
        <v>80</v>
      </c>
      <c r="E56" s="1">
        <f>D56/D51*100</f>
        <v>1.9017734036989493</v>
      </c>
      <c r="F56" s="1">
        <f>D56/B56*100</f>
        <v>61.68080185042406</v>
      </c>
      <c r="G56" s="1">
        <f>D56/C56*100</f>
        <v>15.417228753131626</v>
      </c>
      <c r="H56" s="44">
        <f t="shared" si="7"/>
        <v>49.69999999999999</v>
      </c>
      <c r="I56" s="44">
        <f t="shared" si="5"/>
        <v>438.9</v>
      </c>
    </row>
    <row r="57" spans="1:9" ht="18.75" thickBot="1">
      <c r="A57" s="23" t="s">
        <v>28</v>
      </c>
      <c r="B57" s="43">
        <f>B51-B52-B55-B54-B53-B56</f>
        <v>1992.4999999999998</v>
      </c>
      <c r="C57" s="43">
        <f>C51-C52-C55-C54-C53-C56</f>
        <v>7278.300000000002</v>
      </c>
      <c r="D57" s="43">
        <f>D51-D52-D55-D54-D53-D56</f>
        <v>1145.2000000000005</v>
      </c>
      <c r="E57" s="1">
        <f>D57/D51*100</f>
        <v>27.22388627395047</v>
      </c>
      <c r="F57" s="1">
        <f t="shared" si="6"/>
        <v>57.47553324968635</v>
      </c>
      <c r="G57" s="1">
        <f t="shared" si="4"/>
        <v>15.734443482681398</v>
      </c>
      <c r="H57" s="44">
        <f>B57-D57</f>
        <v>847.2999999999993</v>
      </c>
      <c r="I57" s="44">
        <f>C57-D57</f>
        <v>6133.100000000001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1143.6</v>
      </c>
      <c r="C59" s="46">
        <f>7844.6+200</f>
        <v>8044.6</v>
      </c>
      <c r="D59" s="47">
        <f>55.6+0.2+146.1+0.4+60.8+0.4+59.3+73.6+0.1+18.6+1.9+67.3</f>
        <v>484.3</v>
      </c>
      <c r="E59" s="3">
        <f>D59/D150*100</f>
        <v>0.1641477349951244</v>
      </c>
      <c r="F59" s="3">
        <f>D59/B59*100</f>
        <v>42.348723329835614</v>
      </c>
      <c r="G59" s="3">
        <f t="shared" si="4"/>
        <v>6.020187454938716</v>
      </c>
      <c r="H59" s="47">
        <f>B59-D59</f>
        <v>659.3</v>
      </c>
      <c r="I59" s="47">
        <f t="shared" si="5"/>
        <v>7560.3</v>
      </c>
    </row>
    <row r="60" spans="1:9" ht="18">
      <c r="A60" s="23" t="s">
        <v>3</v>
      </c>
      <c r="B60" s="42">
        <v>708.5</v>
      </c>
      <c r="C60" s="43">
        <v>2900.3</v>
      </c>
      <c r="D60" s="44">
        <f>55.6+146.1+60.8+59.3+73.6+0.1+67.3</f>
        <v>462.8</v>
      </c>
      <c r="E60" s="1">
        <f>D60/D59*100</f>
        <v>95.5606029320669</v>
      </c>
      <c r="F60" s="1">
        <f t="shared" si="6"/>
        <v>65.3211009174312</v>
      </c>
      <c r="G60" s="1">
        <f t="shared" si="4"/>
        <v>15.956969968623936</v>
      </c>
      <c r="H60" s="44">
        <f t="shared" si="7"/>
        <v>245.7</v>
      </c>
      <c r="I60" s="44">
        <f t="shared" si="5"/>
        <v>2437.5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221</v>
      </c>
      <c r="C62" s="43">
        <v>451.8</v>
      </c>
      <c r="D62" s="44">
        <f>0.4+18.6</f>
        <v>19</v>
      </c>
      <c r="E62" s="1">
        <f>D62/D59*100</f>
        <v>3.92318810654553</v>
      </c>
      <c r="F62" s="1">
        <f t="shared" si="6"/>
        <v>8.597285067873303</v>
      </c>
      <c r="G62" s="1">
        <f t="shared" si="4"/>
        <v>4.20540061974325</v>
      </c>
      <c r="H62" s="44">
        <f t="shared" si="7"/>
        <v>202</v>
      </c>
      <c r="I62" s="44">
        <f t="shared" si="5"/>
        <v>432.8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214.0999999999999</v>
      </c>
      <c r="C64" s="43">
        <f>C59-C60-C62-C63-C61</f>
        <v>648.3000000000001</v>
      </c>
      <c r="D64" s="43">
        <f>D59-D60-D62-D63-D61</f>
        <v>2.5</v>
      </c>
      <c r="E64" s="1">
        <f>D64/D59*100</f>
        <v>0.5162089613875697</v>
      </c>
      <c r="F64" s="1">
        <f t="shared" si="6"/>
        <v>1.1676786548341902</v>
      </c>
      <c r="G64" s="1">
        <f t="shared" si="4"/>
        <v>0.38562393953416624</v>
      </c>
      <c r="H64" s="44">
        <f t="shared" si="7"/>
        <v>211.5999999999999</v>
      </c>
      <c r="I64" s="44">
        <f t="shared" si="5"/>
        <v>645.8000000000001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340.3</v>
      </c>
      <c r="C69" s="46">
        <f>C70+C71</f>
        <v>556.3</v>
      </c>
      <c r="D69" s="47">
        <f>SUM(D70:D71)</f>
        <v>197.79999999999998</v>
      </c>
      <c r="E69" s="35">
        <f>D69/D150*100</f>
        <v>0.06704196155695974</v>
      </c>
      <c r="F69" s="3">
        <f>D69/B69*100</f>
        <v>58.12518366147516</v>
      </c>
      <c r="G69" s="3">
        <f t="shared" si="4"/>
        <v>35.556354484990116</v>
      </c>
      <c r="H69" s="47">
        <f>B69-D69</f>
        <v>142.50000000000003</v>
      </c>
      <c r="I69" s="47">
        <f t="shared" si="5"/>
        <v>358.5</v>
      </c>
    </row>
    <row r="70" spans="1:9" ht="18">
      <c r="A70" s="23" t="s">
        <v>8</v>
      </c>
      <c r="B70" s="42">
        <f>284.5-85.3+85.3</f>
        <v>284.5</v>
      </c>
      <c r="C70" s="43">
        <f>289</f>
        <v>289</v>
      </c>
      <c r="D70" s="44">
        <f>19.2+1.5+170.6</f>
        <v>191.29999999999998</v>
      </c>
      <c r="E70" s="1">
        <f>D70/D69*100</f>
        <v>96.71385237613751</v>
      </c>
      <c r="F70" s="1">
        <f t="shared" si="6"/>
        <v>67.24077328646749</v>
      </c>
      <c r="G70" s="1">
        <f t="shared" si="4"/>
        <v>66.19377162629758</v>
      </c>
      <c r="H70" s="44">
        <f t="shared" si="7"/>
        <v>93.20000000000002</v>
      </c>
      <c r="I70" s="44">
        <f t="shared" si="5"/>
        <v>97.70000000000002</v>
      </c>
    </row>
    <row r="71" spans="1:9" ht="18.75" thickBot="1">
      <c r="A71" s="23" t="s">
        <v>9</v>
      </c>
      <c r="B71" s="42">
        <f>55.8+6.6-6.6</f>
        <v>55.8</v>
      </c>
      <c r="C71" s="43">
        <v>267.3</v>
      </c>
      <c r="D71" s="44">
        <f>6.5</f>
        <v>6.5</v>
      </c>
      <c r="E71" s="1">
        <f>D71/D70*100</f>
        <v>3.3978044955567173</v>
      </c>
      <c r="F71" s="1">
        <f t="shared" si="6"/>
        <v>11.648745519713263</v>
      </c>
      <c r="G71" s="1">
        <f t="shared" si="4"/>
        <v>2.431724653946876</v>
      </c>
      <c r="H71" s="44">
        <f t="shared" si="7"/>
        <v>49.3</v>
      </c>
      <c r="I71" s="44">
        <f t="shared" si="5"/>
        <v>260.8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f>2500-100</f>
        <v>2400</v>
      </c>
      <c r="C77" s="62">
        <f>10000-100</f>
        <v>9900</v>
      </c>
      <c r="D77" s="63"/>
      <c r="E77" s="41"/>
      <c r="F77" s="41"/>
      <c r="G77" s="41"/>
      <c r="H77" s="63">
        <f>B77-D77</f>
        <v>2400</v>
      </c>
      <c r="I77" s="63">
        <f t="shared" si="5"/>
        <v>9900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41808.9</v>
      </c>
      <c r="C90" s="46">
        <v>157960</v>
      </c>
      <c r="D90" s="47">
        <f>4.8+1016.5+864.1+250.6+6.8+2.9+10.6+5.5+0.6+1.5+29.3+1648.7+1618.2+708.6+2+22.6+23.3+36.4+60.9+22+815.8+1474.1+412+20.4+54.9+18.9+21.9+0.1+15.6+311.1+1694.5+1935.1+26.3+25.9+120.2+243.3+17.1+315.3+665.2+1876.2</f>
        <v>16399.8</v>
      </c>
      <c r="E90" s="3">
        <f>D90/D150*100</f>
        <v>5.558517498189223</v>
      </c>
      <c r="F90" s="3">
        <f aca="true" t="shared" si="10" ref="F90:F96">D90/B90*100</f>
        <v>39.22561942552901</v>
      </c>
      <c r="G90" s="3">
        <f t="shared" si="8"/>
        <v>10.382248670549506</v>
      </c>
      <c r="H90" s="47">
        <f aca="true" t="shared" si="11" ref="H90:H96">B90-D90</f>
        <v>25409.100000000002</v>
      </c>
      <c r="I90" s="47">
        <f t="shared" si="9"/>
        <v>141560.2</v>
      </c>
    </row>
    <row r="91" spans="1:9" ht="18">
      <c r="A91" s="23" t="s">
        <v>3</v>
      </c>
      <c r="B91" s="42">
        <f>38207-12.7</f>
        <v>38194.3</v>
      </c>
      <c r="C91" s="43">
        <v>148246.2</v>
      </c>
      <c r="D91" s="44">
        <f>1016.5+861.2+216.8+0.1+15.6+1633.8+1584.8+610.3+2+34.8+60.4+677.1+1434.4+388.2+14.5+46.2+0.1+225.9+1690.4+1880.4+5.7+23.4+14.2+309.4+627.8+1876.2</f>
        <v>15250.200000000003</v>
      </c>
      <c r="E91" s="1">
        <f>D91/D90*100</f>
        <v>92.99015841656608</v>
      </c>
      <c r="F91" s="1">
        <f t="shared" si="10"/>
        <v>39.92794736387367</v>
      </c>
      <c r="G91" s="1">
        <f t="shared" si="8"/>
        <v>10.287076498419522</v>
      </c>
      <c r="H91" s="44">
        <f t="shared" si="11"/>
        <v>22944.1</v>
      </c>
      <c r="I91" s="44">
        <f t="shared" si="9"/>
        <v>132996</v>
      </c>
    </row>
    <row r="92" spans="1:9" ht="18">
      <c r="A92" s="23" t="s">
        <v>26</v>
      </c>
      <c r="B92" s="42">
        <v>1217.3</v>
      </c>
      <c r="C92" s="43">
        <v>2620.6</v>
      </c>
      <c r="D92" s="44">
        <f>48.5+5.1+5+1.3+22.8+67.3+53.4</f>
        <v>203.4</v>
      </c>
      <c r="E92" s="1">
        <f>D92/D90*100</f>
        <v>1.2402590275491165</v>
      </c>
      <c r="F92" s="1">
        <f t="shared" si="10"/>
        <v>16.709110326131604</v>
      </c>
      <c r="G92" s="1">
        <f t="shared" si="8"/>
        <v>7.76158131725559</v>
      </c>
      <c r="H92" s="44">
        <f t="shared" si="11"/>
        <v>1013.9</v>
      </c>
      <c r="I92" s="44">
        <f t="shared" si="9"/>
        <v>2417.2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2397.2999999999984</v>
      </c>
      <c r="C94" s="43">
        <f>C90-C91-C92-C93</f>
        <v>7093.199999999988</v>
      </c>
      <c r="D94" s="43">
        <f>D90-D91-D92-D93</f>
        <v>946.1999999999967</v>
      </c>
      <c r="E94" s="1">
        <f>D94/D90*100</f>
        <v>5.769582555884808</v>
      </c>
      <c r="F94" s="1">
        <f t="shared" si="10"/>
        <v>39.46940307846316</v>
      </c>
      <c r="G94" s="1">
        <f>D94/C94*100</f>
        <v>13.339536457452184</v>
      </c>
      <c r="H94" s="44">
        <f t="shared" si="11"/>
        <v>1451.1000000000017</v>
      </c>
      <c r="I94" s="44">
        <f>C94-D94</f>
        <v>6146.999999999991</v>
      </c>
    </row>
    <row r="95" spans="1:9" ht="18.75">
      <c r="A95" s="108" t="s">
        <v>12</v>
      </c>
      <c r="B95" s="111">
        <v>18881.9</v>
      </c>
      <c r="C95" s="113">
        <v>59880.5</v>
      </c>
      <c r="D95" s="112">
        <f>158.8+434.4+321.9+32+1220.1+1621.7+82.6+1043.7+489.5+1835.3+427.5+91.3+190+524+63.3+11.3+68.3+293.9+953+327.8+2372.9+1+6.8+217.3+273.2</f>
        <v>13061.599999999995</v>
      </c>
      <c r="E95" s="107">
        <f>D95/D150*100</f>
        <v>4.427074242024191</v>
      </c>
      <c r="F95" s="110">
        <f t="shared" si="10"/>
        <v>69.17524189832588</v>
      </c>
      <c r="G95" s="106">
        <f>D95/C95*100</f>
        <v>21.812777114419543</v>
      </c>
      <c r="H95" s="112">
        <f t="shared" si="11"/>
        <v>5820.300000000007</v>
      </c>
      <c r="I95" s="122">
        <f>C95-D95</f>
        <v>46818.90000000001</v>
      </c>
    </row>
    <row r="96" spans="1:9" ht="18.75" thickBot="1">
      <c r="A96" s="109" t="s">
        <v>85</v>
      </c>
      <c r="B96" s="114">
        <v>2826.1</v>
      </c>
      <c r="C96" s="115">
        <f>10660.3-133.5</f>
        <v>10526.8</v>
      </c>
      <c r="D96" s="116">
        <f>69.1+1043.7+68.3+1051.8+1</f>
        <v>2233.8999999999996</v>
      </c>
      <c r="E96" s="117">
        <f>D96/D95*100</f>
        <v>17.102805169351385</v>
      </c>
      <c r="F96" s="118">
        <f t="shared" si="10"/>
        <v>79.0453274831039</v>
      </c>
      <c r="G96" s="119">
        <f>D96/C96*100</f>
        <v>21.22107383060379</v>
      </c>
      <c r="H96" s="123">
        <f t="shared" si="11"/>
        <v>592.2000000000003</v>
      </c>
      <c r="I96" s="124">
        <f>C96-D96</f>
        <v>8292.9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3495.3</v>
      </c>
      <c r="C102" s="92">
        <f>12999.2-348</f>
        <v>12651.2</v>
      </c>
      <c r="D102" s="79">
        <f>139.4+4+202+15.3+32.9+18.1+0.4+4+39.7+141.6+9.9+31.3+27.6+1.1+399+127.2+7.6+63.2+113+70.6+140</f>
        <v>1587.8999999999999</v>
      </c>
      <c r="E102" s="19">
        <f>D102/D150*100</f>
        <v>0.538199852155189</v>
      </c>
      <c r="F102" s="19">
        <f>D102/B102*100</f>
        <v>45.42957686035533</v>
      </c>
      <c r="G102" s="19">
        <f aca="true" t="shared" si="12" ref="G102:G148">D102/C102*100</f>
        <v>12.551378525357276</v>
      </c>
      <c r="H102" s="79">
        <f aca="true" t="shared" si="13" ref="H102:H107">B102-D102</f>
        <v>1907.4000000000003</v>
      </c>
      <c r="I102" s="79">
        <f aca="true" t="shared" si="14" ref="I102:I148">C102-D102</f>
        <v>11063.300000000001</v>
      </c>
    </row>
    <row r="103" spans="1:9" ht="18">
      <c r="A103" s="23" t="s">
        <v>3</v>
      </c>
      <c r="B103" s="89">
        <v>35.4</v>
      </c>
      <c r="C103" s="87">
        <v>259.1</v>
      </c>
      <c r="D103" s="87"/>
      <c r="E103" s="83">
        <f>D103/D102*100</f>
        <v>0</v>
      </c>
      <c r="F103" s="103">
        <f>D103/B103*100</f>
        <v>0</v>
      </c>
      <c r="G103" s="83">
        <f>D103/C103*100</f>
        <v>0</v>
      </c>
      <c r="H103" s="87">
        <f t="shared" si="13"/>
        <v>35.4</v>
      </c>
      <c r="I103" s="87">
        <f t="shared" si="14"/>
        <v>259.1</v>
      </c>
    </row>
    <row r="104" spans="1:9" ht="18">
      <c r="A104" s="85" t="s">
        <v>49</v>
      </c>
      <c r="B104" s="74">
        <v>2967.9</v>
      </c>
      <c r="C104" s="44">
        <f>10720.8-348</f>
        <v>10372.8</v>
      </c>
      <c r="D104" s="44">
        <f>139.3+4+202+15.3-0.1+4+25.4+141.4+9.8+31.2+1.1+390.1+50+2+0.1+51.6+111.9+69.9+132</f>
        <v>1381.0000000000002</v>
      </c>
      <c r="E104" s="1">
        <f>D104/D102*100</f>
        <v>86.97021222998931</v>
      </c>
      <c r="F104" s="1">
        <f aca="true" t="shared" si="15" ref="F104:F148">D104/B104*100</f>
        <v>46.53121735907544</v>
      </c>
      <c r="G104" s="1">
        <f t="shared" si="12"/>
        <v>13.313666512417093</v>
      </c>
      <c r="H104" s="44">
        <f t="shared" si="13"/>
        <v>1586.8999999999999</v>
      </c>
      <c r="I104" s="44">
        <f t="shared" si="14"/>
        <v>8991.8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492</v>
      </c>
      <c r="C106" s="88">
        <f>C102-C103-C104</f>
        <v>2019.300000000001</v>
      </c>
      <c r="D106" s="88">
        <f>D102-D103-D104</f>
        <v>206.89999999999964</v>
      </c>
      <c r="E106" s="84">
        <f>D106/D102*100</f>
        <v>13.029787770010683</v>
      </c>
      <c r="F106" s="84">
        <f t="shared" si="15"/>
        <v>42.052845528455215</v>
      </c>
      <c r="G106" s="84">
        <f t="shared" si="12"/>
        <v>10.246124894765488</v>
      </c>
      <c r="H106" s="124">
        <f>B106-D106</f>
        <v>285.10000000000036</v>
      </c>
      <c r="I106" s="124">
        <f t="shared" si="14"/>
        <v>1812.4000000000015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87819.7</v>
      </c>
      <c r="C107" s="81">
        <f>SUM(C108:C147)-C115-C119+C148-C139-C140-C109-C112-C122-C123-C137-C131-C129</f>
        <v>553374.9999999999</v>
      </c>
      <c r="D107" s="81">
        <f>SUM(D108:D147)-D115-D119+D148-D139-D140-D109-D112-D122-D123-D137-D131-D129</f>
        <v>55530.299999999996</v>
      </c>
      <c r="E107" s="82">
        <f>D107/D150*100</f>
        <v>18.82133588395572</v>
      </c>
      <c r="F107" s="82">
        <f>D107/B107*100</f>
        <v>63.232167725464784</v>
      </c>
      <c r="G107" s="82">
        <f t="shared" si="12"/>
        <v>10.03484074994353</v>
      </c>
      <c r="H107" s="81">
        <f t="shared" si="13"/>
        <v>32289.4</v>
      </c>
      <c r="I107" s="81">
        <f t="shared" si="14"/>
        <v>497844.6999999999</v>
      </c>
    </row>
    <row r="108" spans="1:9" ht="37.5">
      <c r="A108" s="28" t="s">
        <v>53</v>
      </c>
      <c r="B108" s="71">
        <v>1480.4</v>
      </c>
      <c r="C108" s="67">
        <v>4095.6</v>
      </c>
      <c r="D108" s="72">
        <f>12.6+3.2+110.8+149.9+0.1+86+66+19.9+30.9</f>
        <v>479.4</v>
      </c>
      <c r="E108" s="6">
        <f>D108/D107*100</f>
        <v>0.8633124618451548</v>
      </c>
      <c r="F108" s="6">
        <f t="shared" si="15"/>
        <v>32.38313969197514</v>
      </c>
      <c r="G108" s="6">
        <f t="shared" si="12"/>
        <v>11.705244652798125</v>
      </c>
      <c r="H108" s="61">
        <f aca="true" t="shared" si="16" ref="H108:H148">B108-D108</f>
        <v>1001.0000000000001</v>
      </c>
      <c r="I108" s="61">
        <f t="shared" si="14"/>
        <v>3616.2</v>
      </c>
    </row>
    <row r="109" spans="1:9" ht="18">
      <c r="A109" s="23" t="s">
        <v>26</v>
      </c>
      <c r="B109" s="74">
        <v>1072.9</v>
      </c>
      <c r="C109" s="44">
        <v>2633.8</v>
      </c>
      <c r="D109" s="75">
        <f>68.3+138.7+47.8+60.9+18.1+30</f>
        <v>363.8</v>
      </c>
      <c r="E109" s="1">
        <f>D109/D108*100</f>
        <v>75.88652482269505</v>
      </c>
      <c r="F109" s="1">
        <f t="shared" si="15"/>
        <v>33.90809954329387</v>
      </c>
      <c r="G109" s="1">
        <f t="shared" si="12"/>
        <v>13.812742045713417</v>
      </c>
      <c r="H109" s="44">
        <f t="shared" si="16"/>
        <v>709.1000000000001</v>
      </c>
      <c r="I109" s="44">
        <f t="shared" si="14"/>
        <v>2270</v>
      </c>
    </row>
    <row r="110" spans="1:9" ht="34.5" customHeight="1">
      <c r="A110" s="16" t="s">
        <v>80</v>
      </c>
      <c r="B110" s="73">
        <v>346.9</v>
      </c>
      <c r="C110" s="61">
        <v>1175.4</v>
      </c>
      <c r="D110" s="72"/>
      <c r="E110" s="6">
        <f>D110/D107*100</f>
        <v>0</v>
      </c>
      <c r="F110" s="6">
        <f>D110/B110*100</f>
        <v>0</v>
      </c>
      <c r="G110" s="6">
        <f t="shared" si="12"/>
        <v>0</v>
      </c>
      <c r="H110" s="61">
        <f t="shared" si="16"/>
        <v>346.9</v>
      </c>
      <c r="I110" s="61">
        <f t="shared" si="14"/>
        <v>1175.4</v>
      </c>
    </row>
    <row r="111" spans="1:9" s="37" customFormat="1" ht="34.5" customHeight="1">
      <c r="A111" s="16" t="s">
        <v>100</v>
      </c>
      <c r="B111" s="73">
        <f>69.5+246.2-246.2</f>
        <v>69.5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69.5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22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22</v>
      </c>
      <c r="I113" s="61">
        <f t="shared" si="14"/>
        <v>60</v>
      </c>
    </row>
    <row r="114" spans="1:9" ht="37.5">
      <c r="A114" s="16" t="s">
        <v>39</v>
      </c>
      <c r="B114" s="73">
        <v>841.4</v>
      </c>
      <c r="C114" s="61">
        <v>2915.4</v>
      </c>
      <c r="D114" s="72">
        <f>136.4+40+10+2+0.1+10.6+142+54.3+10.6+6.6+21.9</f>
        <v>434.50000000000006</v>
      </c>
      <c r="E114" s="6">
        <f>D114/D107*100</f>
        <v>0.7824557043632037</v>
      </c>
      <c r="F114" s="6">
        <f t="shared" si="15"/>
        <v>51.64012360351795</v>
      </c>
      <c r="G114" s="6">
        <f t="shared" si="12"/>
        <v>14.903615284352062</v>
      </c>
      <c r="H114" s="61">
        <f t="shared" si="16"/>
        <v>406.8999999999999</v>
      </c>
      <c r="I114" s="61">
        <f t="shared" si="14"/>
        <v>2480.9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19</v>
      </c>
      <c r="I117" s="61">
        <f t="shared" si="14"/>
        <v>199</v>
      </c>
    </row>
    <row r="118" spans="1:9" s="2" customFormat="1" ht="18.75">
      <c r="A118" s="16" t="s">
        <v>15</v>
      </c>
      <c r="B118" s="73">
        <v>135.6</v>
      </c>
      <c r="C118" s="53">
        <v>422.8</v>
      </c>
      <c r="D118" s="72">
        <f>39+5+6.2+39.1+4.9</f>
        <v>94.20000000000002</v>
      </c>
      <c r="E118" s="6">
        <f>D118/D107*100</f>
        <v>0.16963711703340342</v>
      </c>
      <c r="F118" s="6">
        <f t="shared" si="15"/>
        <v>69.46902654867259</v>
      </c>
      <c r="G118" s="6">
        <f t="shared" si="12"/>
        <v>22.280037842951753</v>
      </c>
      <c r="H118" s="61">
        <f t="shared" si="16"/>
        <v>41.39999999999998</v>
      </c>
      <c r="I118" s="61">
        <f t="shared" si="14"/>
        <v>328.6</v>
      </c>
    </row>
    <row r="119" spans="1:9" s="32" customFormat="1" ht="18">
      <c r="A119" s="33" t="s">
        <v>44</v>
      </c>
      <c r="B119" s="74">
        <v>117.1</v>
      </c>
      <c r="C119" s="44">
        <v>351.4</v>
      </c>
      <c r="D119" s="75">
        <f>39+39.1</f>
        <v>78.1</v>
      </c>
      <c r="E119" s="1">
        <f>D119/D118*100</f>
        <v>82.90870488322716</v>
      </c>
      <c r="F119" s="1">
        <f t="shared" si="15"/>
        <v>66.69513236549957</v>
      </c>
      <c r="G119" s="1">
        <f t="shared" si="12"/>
        <v>22.225384177575414</v>
      </c>
      <c r="H119" s="44">
        <f t="shared" si="16"/>
        <v>39</v>
      </c>
      <c r="I119" s="44">
        <f t="shared" si="14"/>
        <v>273.29999999999995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101</v>
      </c>
      <c r="B121" s="73">
        <v>81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81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102</v>
      </c>
      <c r="B124" s="73">
        <f>10132.5+948.2</f>
        <v>11080.7</v>
      </c>
      <c r="C124" s="53">
        <f>33585.8+9933.2</f>
        <v>43519</v>
      </c>
      <c r="D124" s="76">
        <f>3483.8+2635.6+1853.3</f>
        <v>7972.7</v>
      </c>
      <c r="E124" s="17">
        <f>D124/D107*100</f>
        <v>14.357386868070227</v>
      </c>
      <c r="F124" s="6">
        <f t="shared" si="15"/>
        <v>71.95123051792757</v>
      </c>
      <c r="G124" s="6">
        <f t="shared" si="12"/>
        <v>18.320044118660814</v>
      </c>
      <c r="H124" s="61">
        <f t="shared" si="16"/>
        <v>3108.000000000001</v>
      </c>
      <c r="I124" s="61">
        <f t="shared" si="14"/>
        <v>35546.3</v>
      </c>
    </row>
    <row r="125" spans="1:9" s="2" customFormat="1" ht="18.75">
      <c r="A125" s="16" t="s">
        <v>97</v>
      </c>
      <c r="B125" s="73">
        <v>110</v>
      </c>
      <c r="C125" s="53">
        <f>585+110</f>
        <v>695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110</v>
      </c>
      <c r="I125" s="61">
        <f t="shared" si="14"/>
        <v>695</v>
      </c>
    </row>
    <row r="126" spans="1:9" s="2" customFormat="1" ht="37.5" hidden="1">
      <c r="A126" s="16" t="s">
        <v>96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f>405.4</f>
        <v>405.4</v>
      </c>
      <c r="C128" s="53">
        <v>1253.3</v>
      </c>
      <c r="D128" s="76">
        <f>6.5+6.7+0.9+10.2+6.4+2.4</f>
        <v>33.099999999999994</v>
      </c>
      <c r="E128" s="17">
        <f>D128/D107*100</f>
        <v>0.05960709738647189</v>
      </c>
      <c r="F128" s="6">
        <f t="shared" si="15"/>
        <v>8.164775530340403</v>
      </c>
      <c r="G128" s="6">
        <f t="shared" si="12"/>
        <v>2.6410276869065665</v>
      </c>
      <c r="H128" s="61">
        <f t="shared" si="16"/>
        <v>372.29999999999995</v>
      </c>
      <c r="I128" s="61">
        <f t="shared" si="14"/>
        <v>1220.2</v>
      </c>
    </row>
    <row r="129" spans="1:9" s="32" customFormat="1" ht="18">
      <c r="A129" s="23" t="s">
        <v>90</v>
      </c>
      <c r="B129" s="74">
        <v>104.4</v>
      </c>
      <c r="C129" s="44">
        <v>459.6</v>
      </c>
      <c r="D129" s="75">
        <f>6.4+6.4</f>
        <v>12.8</v>
      </c>
      <c r="E129" s="1">
        <f>D129/D128*100</f>
        <v>38.67069486404835</v>
      </c>
      <c r="F129" s="1">
        <f>D129/B129*100</f>
        <v>12.260536398467432</v>
      </c>
      <c r="G129" s="1">
        <f t="shared" si="12"/>
        <v>2.78503046127067</v>
      </c>
      <c r="H129" s="44">
        <f t="shared" si="16"/>
        <v>91.60000000000001</v>
      </c>
      <c r="I129" s="44">
        <f t="shared" si="14"/>
        <v>446.8</v>
      </c>
    </row>
    <row r="130" spans="1:9" s="2" customFormat="1" ht="37.5" hidden="1">
      <c r="A130" s="16" t="s">
        <v>98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27.1</v>
      </c>
      <c r="C134" s="53">
        <v>108.1</v>
      </c>
      <c r="D134" s="76">
        <f>3.8+10.3</f>
        <v>14.100000000000001</v>
      </c>
      <c r="E134" s="17">
        <f>D134/D107*100</f>
        <v>0.025391542995445736</v>
      </c>
      <c r="F134" s="6">
        <f t="shared" si="15"/>
        <v>52.02952029520296</v>
      </c>
      <c r="G134" s="6">
        <f t="shared" si="12"/>
        <v>13.043478260869568</v>
      </c>
      <c r="H134" s="61">
        <f t="shared" si="16"/>
        <v>13</v>
      </c>
      <c r="I134" s="61">
        <f t="shared" si="14"/>
        <v>94</v>
      </c>
    </row>
    <row r="135" spans="1:9" s="2" customFormat="1" ht="39" customHeight="1">
      <c r="A135" s="16" t="s">
        <v>56</v>
      </c>
      <c r="B135" s="73">
        <v>68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68</v>
      </c>
      <c r="I135" s="61">
        <f t="shared" si="14"/>
        <v>626.8</v>
      </c>
    </row>
    <row r="136" spans="1:9" s="2" customFormat="1" ht="37.5">
      <c r="A136" s="16" t="s">
        <v>86</v>
      </c>
      <c r="B136" s="73">
        <v>147.8</v>
      </c>
      <c r="C136" s="53">
        <v>381.2</v>
      </c>
      <c r="D136" s="76">
        <f>0.5+1.3+15.9+33.5+3</f>
        <v>54.2</v>
      </c>
      <c r="E136" s="17">
        <f>D136/D107*100</f>
        <v>0.09760437094703253</v>
      </c>
      <c r="F136" s="6">
        <f t="shared" si="15"/>
        <v>36.67117726657646</v>
      </c>
      <c r="G136" s="6">
        <f>D136/C136*100</f>
        <v>14.218258132214062</v>
      </c>
      <c r="H136" s="61">
        <f t="shared" si="16"/>
        <v>93.60000000000001</v>
      </c>
      <c r="I136" s="61">
        <f t="shared" si="14"/>
        <v>327</v>
      </c>
    </row>
    <row r="137" spans="1:9" s="32" customFormat="1" ht="18">
      <c r="A137" s="23" t="s">
        <v>26</v>
      </c>
      <c r="B137" s="74">
        <v>121</v>
      </c>
      <c r="C137" s="44">
        <v>306.1</v>
      </c>
      <c r="D137" s="75">
        <f>15.9+33.5</f>
        <v>49.4</v>
      </c>
      <c r="E137" s="103">
        <f>D137/D136*100</f>
        <v>91.14391143911439</v>
      </c>
      <c r="F137" s="1">
        <f t="shared" si="15"/>
        <v>40.82644628099173</v>
      </c>
      <c r="G137" s="1">
        <f>D137/C137*100</f>
        <v>16.138516824567134</v>
      </c>
      <c r="H137" s="44">
        <f t="shared" si="16"/>
        <v>71.6</v>
      </c>
      <c r="I137" s="44">
        <f t="shared" si="14"/>
        <v>256.70000000000005</v>
      </c>
    </row>
    <row r="138" spans="1:9" s="2" customFormat="1" ht="18.75">
      <c r="A138" s="16" t="s">
        <v>103</v>
      </c>
      <c r="B138" s="73">
        <v>354.9</v>
      </c>
      <c r="C138" s="53">
        <v>1397.4</v>
      </c>
      <c r="D138" s="76">
        <f>26+59.9+0.4-0.1+0.1+27.3+5.8+57.7+6.3+46.3</f>
        <v>229.70000000000005</v>
      </c>
      <c r="E138" s="17">
        <f>D138/D107*100</f>
        <v>0.4136480444009848</v>
      </c>
      <c r="F138" s="6">
        <f t="shared" si="15"/>
        <v>64.72245703014934</v>
      </c>
      <c r="G138" s="6">
        <f t="shared" si="12"/>
        <v>16.43766995849435</v>
      </c>
      <c r="H138" s="61">
        <f t="shared" si="16"/>
        <v>125.19999999999993</v>
      </c>
      <c r="I138" s="61">
        <f t="shared" si="14"/>
        <v>1167.7</v>
      </c>
    </row>
    <row r="139" spans="1:9" s="32" customFormat="1" ht="18">
      <c r="A139" s="33" t="s">
        <v>44</v>
      </c>
      <c r="B139" s="74">
        <v>259.6</v>
      </c>
      <c r="C139" s="44">
        <v>1063.5</v>
      </c>
      <c r="D139" s="75">
        <f>26+59.9+27.3+57.1-0.1+46.3</f>
        <v>216.5</v>
      </c>
      <c r="E139" s="1">
        <f>D139/D138*100</f>
        <v>94.25337396604264</v>
      </c>
      <c r="F139" s="1">
        <f aca="true" t="shared" si="17" ref="F139:F147">D139/B139*100</f>
        <v>83.39753466872111</v>
      </c>
      <c r="G139" s="1">
        <f t="shared" si="12"/>
        <v>20.357310766337562</v>
      </c>
      <c r="H139" s="44">
        <f t="shared" si="16"/>
        <v>43.10000000000002</v>
      </c>
      <c r="I139" s="44">
        <f t="shared" si="14"/>
        <v>847</v>
      </c>
    </row>
    <row r="140" spans="1:9" s="32" customFormat="1" ht="18">
      <c r="A140" s="23" t="s">
        <v>26</v>
      </c>
      <c r="B140" s="74">
        <v>21.3</v>
      </c>
      <c r="C140" s="44">
        <v>37.5</v>
      </c>
      <c r="D140" s="75">
        <f>0.4+5.6+0.6</f>
        <v>6.6</v>
      </c>
      <c r="E140" s="1">
        <f>D140/D138*100</f>
        <v>2.873313016978667</v>
      </c>
      <c r="F140" s="1">
        <f t="shared" si="17"/>
        <v>30.985915492957744</v>
      </c>
      <c r="G140" s="1">
        <f>D140/C140*100</f>
        <v>17.599999999999998</v>
      </c>
      <c r="H140" s="44">
        <f t="shared" si="16"/>
        <v>14.700000000000001</v>
      </c>
      <c r="I140" s="44">
        <f t="shared" si="14"/>
        <v>30.9</v>
      </c>
    </row>
    <row r="141" spans="1:9" s="2" customFormat="1" ht="56.25">
      <c r="A141" s="18" t="s">
        <v>110</v>
      </c>
      <c r="B141" s="73">
        <v>0</v>
      </c>
      <c r="C141" s="53">
        <v>200</v>
      </c>
      <c r="D141" s="76"/>
      <c r="E141" s="17">
        <f>D141/D107*100</f>
        <v>0</v>
      </c>
      <c r="F141" s="128" t="e">
        <f t="shared" si="17"/>
        <v>#DIV/0!</v>
      </c>
      <c r="G141" s="6">
        <f t="shared" si="12"/>
        <v>0</v>
      </c>
      <c r="H141" s="61">
        <f t="shared" si="16"/>
        <v>0</v>
      </c>
      <c r="I141" s="61">
        <f t="shared" si="14"/>
        <v>200</v>
      </c>
    </row>
    <row r="142" spans="1:9" s="2" customFormat="1" ht="18.75" hidden="1">
      <c r="A142" s="18" t="s">
        <v>99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104</v>
      </c>
      <c r="B143" s="73">
        <f>16430.8-1000</f>
        <v>15430.8</v>
      </c>
      <c r="C143" s="53">
        <f>67967+150-2500</f>
        <v>65617</v>
      </c>
      <c r="D143" s="76">
        <f>2189.1+2579.7+68.9+525.7+232.8+205.1+14+182+44.6+100.3+189.9+11.2+127+188.8+69.4+131.7</f>
        <v>6860.199999999999</v>
      </c>
      <c r="E143" s="17">
        <f>D143/D107*100</f>
        <v>12.353976117543034</v>
      </c>
      <c r="F143" s="99">
        <f t="shared" si="17"/>
        <v>44.45783757161002</v>
      </c>
      <c r="G143" s="6">
        <f t="shared" si="12"/>
        <v>10.454912598869194</v>
      </c>
      <c r="H143" s="61">
        <f t="shared" si="16"/>
        <v>8570.6</v>
      </c>
      <c r="I143" s="61">
        <f t="shared" si="14"/>
        <v>58756.8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105</v>
      </c>
      <c r="B145" s="73">
        <v>64.1</v>
      </c>
      <c r="C145" s="53">
        <v>234</v>
      </c>
      <c r="D145" s="76">
        <f>19.2</f>
        <v>19.2</v>
      </c>
      <c r="E145" s="17">
        <f>D145/D107*100</f>
        <v>0.034575718121458016</v>
      </c>
      <c r="F145" s="99">
        <f t="shared" si="17"/>
        <v>29.95319812792512</v>
      </c>
      <c r="G145" s="6">
        <f t="shared" si="12"/>
        <v>8.205128205128204</v>
      </c>
      <c r="H145" s="61">
        <f t="shared" si="16"/>
        <v>44.89999999999999</v>
      </c>
      <c r="I145" s="61">
        <f t="shared" si="14"/>
        <v>214.8</v>
      </c>
    </row>
    <row r="146" spans="1:12" s="2" customFormat="1" ht="18.75" customHeight="1">
      <c r="A146" s="16" t="s">
        <v>79</v>
      </c>
      <c r="B146" s="73">
        <v>2856.3</v>
      </c>
      <c r="C146" s="53">
        <v>10550.8</v>
      </c>
      <c r="D146" s="76">
        <f>1601.8+39.7+92.5+565.2</f>
        <v>2299.2</v>
      </c>
      <c r="E146" s="17">
        <f>D146/D107*100</f>
        <v>4.140442245044597</v>
      </c>
      <c r="F146" s="99">
        <f t="shared" si="17"/>
        <v>80.49574624514231</v>
      </c>
      <c r="G146" s="6">
        <f t="shared" si="12"/>
        <v>21.79171247677901</v>
      </c>
      <c r="H146" s="61">
        <f t="shared" si="16"/>
        <v>557.1000000000004</v>
      </c>
      <c r="I146" s="61">
        <f t="shared" si="14"/>
        <v>8251.599999999999</v>
      </c>
      <c r="K146" s="38"/>
      <c r="L146" s="38"/>
    </row>
    <row r="147" spans="1:12" s="2" customFormat="1" ht="19.5" customHeight="1">
      <c r="A147" s="16" t="s">
        <v>51</v>
      </c>
      <c r="B147" s="73">
        <f>42349.6+4476.3</f>
        <v>46825.9</v>
      </c>
      <c r="C147" s="53">
        <f>376354.8-1000+14285.9</f>
        <v>389640.7</v>
      </c>
      <c r="D147" s="76">
        <f>4905.7+9487.9+9000+1500+6413</f>
        <v>31306.6</v>
      </c>
      <c r="E147" s="17">
        <f>D147/D107*100</f>
        <v>56.37750921568946</v>
      </c>
      <c r="F147" s="6">
        <f t="shared" si="17"/>
        <v>66.85744427763267</v>
      </c>
      <c r="G147" s="6">
        <f t="shared" si="12"/>
        <v>8.034735591020137</v>
      </c>
      <c r="H147" s="61">
        <f t="shared" si="16"/>
        <v>15519.300000000003</v>
      </c>
      <c r="I147" s="61">
        <f t="shared" si="14"/>
        <v>358334.10000000003</v>
      </c>
      <c r="K147" s="91"/>
      <c r="L147" s="38"/>
    </row>
    <row r="148" spans="1:12" s="2" customFormat="1" ht="18.75">
      <c r="A148" s="16" t="s">
        <v>106</v>
      </c>
      <c r="B148" s="73">
        <v>7371.3</v>
      </c>
      <c r="C148" s="53">
        <v>29485.2</v>
      </c>
      <c r="D148" s="76">
        <f>819+819+819.1+819+819+819.1+819</f>
        <v>5733.2</v>
      </c>
      <c r="E148" s="17">
        <f>D148/D107*100</f>
        <v>10.324453496559537</v>
      </c>
      <c r="F148" s="6">
        <f t="shared" si="15"/>
        <v>77.77732557350807</v>
      </c>
      <c r="G148" s="6">
        <f t="shared" si="12"/>
        <v>19.444331393377016</v>
      </c>
      <c r="H148" s="61">
        <f t="shared" si="16"/>
        <v>1638.1000000000004</v>
      </c>
      <c r="I148" s="61">
        <f t="shared" si="14"/>
        <v>23752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94608</v>
      </c>
      <c r="C149" s="77">
        <f>C43+C69+C72+C77+C79+C87+C102+C107+C100+C84+C98</f>
        <v>578037.6999999998</v>
      </c>
      <c r="D149" s="53">
        <f>D43+D69+D72+D77+D79+D87+D102+D107+D100+D84+D98</f>
        <v>57659.899999999994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454509.5</v>
      </c>
      <c r="C150" s="47">
        <f>C6+C18+C33+C43+C51+C59+C69+C72+C77+C79+C87+C90+C95+C102+C107+C100+C84+C98+C45</f>
        <v>1878362.4</v>
      </c>
      <c r="D150" s="47">
        <f>D6+D18+D33+D43+D51+D59+D69+D72+D77+D79+D87+D90+D95+D102+D107+D100+D84+D98+D45</f>
        <v>295039.1</v>
      </c>
      <c r="E150" s="31">
        <v>100</v>
      </c>
      <c r="F150" s="3">
        <f>D150/B150*100</f>
        <v>64.9137366765711</v>
      </c>
      <c r="G150" s="3">
        <f aca="true" t="shared" si="18" ref="G150:G156">D150/C150*100</f>
        <v>15.707251167293382</v>
      </c>
      <c r="H150" s="47">
        <f aca="true" t="shared" si="19" ref="H150:H156">B150-D150</f>
        <v>159470.40000000002</v>
      </c>
      <c r="I150" s="47">
        <f aca="true" t="shared" si="20" ref="I150:I156">C150-D150</f>
        <v>1583323.2999999998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171599.2</v>
      </c>
      <c r="C151" s="60">
        <f>C8+C20+C34+C52+C60+C91+C115+C119+C46+C139+C131+C103</f>
        <v>722894.7</v>
      </c>
      <c r="D151" s="60">
        <f>D8+D20+D34+D52+D60+D91+D115+D119+D46+D139+D131+D103</f>
        <v>118671.3</v>
      </c>
      <c r="E151" s="6">
        <f>D151/D150*100</f>
        <v>40.22222817246935</v>
      </c>
      <c r="F151" s="6">
        <f aca="true" t="shared" si="21" ref="F151:F156">D151/B151*100</f>
        <v>69.15609163679083</v>
      </c>
      <c r="G151" s="6">
        <f t="shared" si="18"/>
        <v>16.41612533609667</v>
      </c>
      <c r="H151" s="61">
        <f t="shared" si="19"/>
        <v>52927.90000000001</v>
      </c>
      <c r="I151" s="72">
        <f t="shared" si="20"/>
        <v>604223.3999999999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49801.20000000001</v>
      </c>
      <c r="C152" s="61">
        <f>C11+C23+C36+C55+C62+C92+C49+C140+C109+C112+C96+C137</f>
        <v>102336.00000000003</v>
      </c>
      <c r="D152" s="61">
        <f>D11+D23+D36+D55+D62+D92+D49+D140+D109+D112+D96+D137</f>
        <v>26222.199999999997</v>
      </c>
      <c r="E152" s="6">
        <f>D152/D150*100</f>
        <v>8.887703358639582</v>
      </c>
      <c r="F152" s="6">
        <f t="shared" si="21"/>
        <v>52.653751315229336</v>
      </c>
      <c r="G152" s="6">
        <f t="shared" si="18"/>
        <v>25.623631957473407</v>
      </c>
      <c r="H152" s="61">
        <f t="shared" si="19"/>
        <v>23579.000000000015</v>
      </c>
      <c r="I152" s="72">
        <f t="shared" si="20"/>
        <v>76113.80000000003</v>
      </c>
      <c r="K152" s="39"/>
      <c r="L152" s="90"/>
    </row>
    <row r="153" spans="1:12" ht="18.75">
      <c r="A153" s="18" t="s">
        <v>1</v>
      </c>
      <c r="B153" s="60">
        <f>B22+B10+B54+B48+B61+B35+B123</f>
        <v>8660.699999999999</v>
      </c>
      <c r="C153" s="60">
        <f>C22+C10+C54+C48+C61+C35+C123</f>
        <v>28682.2</v>
      </c>
      <c r="D153" s="60">
        <f>D22+D10+D54+D48+D61+D35+D123</f>
        <v>5846.900000000001</v>
      </c>
      <c r="E153" s="6">
        <f>D153/D150*100</f>
        <v>1.9817373358310817</v>
      </c>
      <c r="F153" s="6">
        <f t="shared" si="21"/>
        <v>67.51070929601535</v>
      </c>
      <c r="G153" s="6">
        <f t="shared" si="18"/>
        <v>20.385116901771834</v>
      </c>
      <c r="H153" s="61">
        <f t="shared" si="19"/>
        <v>2813.7999999999984</v>
      </c>
      <c r="I153" s="72">
        <f t="shared" si="20"/>
        <v>22835.3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6862.7</v>
      </c>
      <c r="C154" s="60">
        <f>C12+C24+C104+C63+C38+C93+C129+C56</f>
        <v>29184.599999999995</v>
      </c>
      <c r="D154" s="60">
        <f>D12+D24+D104+D63+D38+D93+D129+D56</f>
        <v>3723.9000000000005</v>
      </c>
      <c r="E154" s="6">
        <f>D154/D150*100</f>
        <v>1.2621716918198302</v>
      </c>
      <c r="F154" s="6">
        <f t="shared" si="21"/>
        <v>54.262899441910626</v>
      </c>
      <c r="G154" s="6">
        <f t="shared" si="18"/>
        <v>12.759811681503264</v>
      </c>
      <c r="H154" s="61">
        <f t="shared" si="19"/>
        <v>3138.7999999999993</v>
      </c>
      <c r="I154" s="72">
        <f t="shared" si="20"/>
        <v>25460.699999999993</v>
      </c>
      <c r="K154" s="39"/>
      <c r="L154" s="90"/>
    </row>
    <row r="155" spans="1:12" ht="18.75">
      <c r="A155" s="18" t="s">
        <v>2</v>
      </c>
      <c r="B155" s="60">
        <f>B9+B21+B47+B53+B122</f>
        <v>24.7</v>
      </c>
      <c r="C155" s="60">
        <f>C9+C21+C47+C53+C122</f>
        <v>186.9</v>
      </c>
      <c r="D155" s="60">
        <f>D9+D21+D47+D53+D122</f>
        <v>2.5</v>
      </c>
      <c r="E155" s="6">
        <f>D155/D150*100</f>
        <v>0.0008473453179595519</v>
      </c>
      <c r="F155" s="6">
        <f t="shared" si="21"/>
        <v>10.121457489878543</v>
      </c>
      <c r="G155" s="6">
        <f t="shared" si="18"/>
        <v>1.337613697164259</v>
      </c>
      <c r="H155" s="61">
        <f t="shared" si="19"/>
        <v>22.2</v>
      </c>
      <c r="I155" s="72">
        <f t="shared" si="20"/>
        <v>184.4</v>
      </c>
      <c r="K155" s="39"/>
      <c r="L155" s="40"/>
    </row>
    <row r="156" spans="1:12" ht="19.5" thickBot="1">
      <c r="A156" s="126" t="s">
        <v>28</v>
      </c>
      <c r="B156" s="78">
        <f>B150-B151-B152-B153-B154-B155</f>
        <v>217560.99999999994</v>
      </c>
      <c r="C156" s="78">
        <f>C150-C151-C152-C153-C154-C155</f>
        <v>995078</v>
      </c>
      <c r="D156" s="78">
        <f>D150-D151-D152-D153-D154-D155</f>
        <v>140572.3</v>
      </c>
      <c r="E156" s="36">
        <f>D156/D150*100</f>
        <v>47.6453120959222</v>
      </c>
      <c r="F156" s="36">
        <f t="shared" si="21"/>
        <v>64.61282123174651</v>
      </c>
      <c r="G156" s="36">
        <f t="shared" si="18"/>
        <v>14.126761922180975</v>
      </c>
      <c r="H156" s="127">
        <f t="shared" si="19"/>
        <v>76988.69999999995</v>
      </c>
      <c r="I156" s="127">
        <f t="shared" si="20"/>
        <v>854505.7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1878362.4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295039.1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1878362.4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295039.1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2017-03-03T14:08:45Z</cp:lastPrinted>
  <dcterms:created xsi:type="dcterms:W3CDTF">2000-06-20T04:48:00Z</dcterms:created>
  <dcterms:modified xsi:type="dcterms:W3CDTF">2017-03-15T05:58:58Z</dcterms:modified>
  <cp:category/>
  <cp:version/>
  <cp:contentType/>
  <cp:contentStatus/>
</cp:coreProperties>
</file>